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filterPrivacy="1"/>
  <xr:revisionPtr revIDLastSave="0" documentId="8_{B65D266E-2A92-4A66-B3E4-28055A756364}" xr6:coauthVersionLast="46" xr6:coauthVersionMax="46" xr10:uidLastSave="{00000000-0000-0000-0000-000000000000}"/>
  <bookViews>
    <workbookView xWindow="-108" yWindow="-108" windowWidth="23256" windowHeight="12576" xr2:uid="{00000000-000D-0000-FFFF-FFFF00000000}"/>
  </bookViews>
  <sheets>
    <sheet name="Ingatlan beruházás, felújítás N" sheetId="1" r:id="rId1"/>
  </sheets>
  <definedNames>
    <definedName name="_xlnm.Print_Area" localSheetId="0">'Ingatlan beruházás, felújítás N'!$A$1:$Q$42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1" i="1" l="1"/>
  <c r="P19" i="1"/>
  <c r="C19" i="1"/>
  <c r="P32" i="1"/>
  <c r="P33" i="1"/>
  <c r="P31" i="1"/>
  <c r="P42" i="1"/>
  <c r="P41" i="1"/>
  <c r="P40" i="1"/>
  <c r="P17" i="1"/>
  <c r="P15" i="1"/>
  <c r="P12" i="1"/>
  <c r="P10" i="1"/>
  <c r="P11" i="1"/>
  <c r="P8" i="1"/>
  <c r="P28" i="1"/>
  <c r="P25" i="1"/>
  <c r="P24" i="1"/>
  <c r="P20" i="1"/>
  <c r="P22" i="1"/>
  <c r="P18" i="1"/>
  <c r="C23" i="1" l="1"/>
  <c r="O35" i="1"/>
  <c r="O29" i="1"/>
  <c r="O13" i="1"/>
  <c r="O7" i="1"/>
  <c r="O6" i="1"/>
  <c r="N41" i="1"/>
  <c r="N17" i="1"/>
  <c r="N15" i="1"/>
  <c r="N12" i="1"/>
  <c r="N11" i="1"/>
  <c r="N10" i="1"/>
  <c r="N9" i="1"/>
  <c r="N5" i="1"/>
  <c r="O5" i="1" s="1"/>
  <c r="L28" i="1" l="1"/>
  <c r="M7" i="1" l="1"/>
  <c r="M17" i="1"/>
  <c r="M13" i="1"/>
  <c r="M37" i="1"/>
  <c r="L33" i="1" l="1"/>
  <c r="M33" i="1" s="1"/>
  <c r="L32" i="1"/>
  <c r="M32" i="1" s="1"/>
  <c r="L31" i="1"/>
  <c r="L27" i="1"/>
  <c r="L26" i="1"/>
  <c r="L25" i="1"/>
  <c r="L24" i="1"/>
  <c r="L15" i="1"/>
  <c r="L18" i="1"/>
  <c r="M18" i="1" s="1"/>
  <c r="L12" i="1"/>
  <c r="L8" i="1"/>
  <c r="L6" i="1"/>
  <c r="K10" i="1" l="1"/>
  <c r="L10" i="1" s="1"/>
  <c r="H31" i="1"/>
  <c r="G31" i="1" s="1"/>
  <c r="F31" i="1" s="1"/>
  <c r="K20" i="1"/>
  <c r="L20" i="1" s="1"/>
  <c r="K18" i="1"/>
  <c r="K17" i="1"/>
  <c r="L17" i="1" s="1"/>
  <c r="K13" i="1"/>
  <c r="L13" i="1" s="1"/>
  <c r="K11" i="1"/>
  <c r="L11" i="1" s="1"/>
  <c r="K5" i="1" l="1"/>
  <c r="L5" i="1" s="1"/>
  <c r="K22" i="1" l="1"/>
  <c r="F24" i="1"/>
  <c r="F40" i="1"/>
  <c r="F15" i="1"/>
  <c r="F5" i="1"/>
  <c r="F8" i="1"/>
  <c r="F14" i="1"/>
  <c r="F11" i="1"/>
  <c r="J37" i="1"/>
  <c r="J38" i="1"/>
  <c r="J41" i="1"/>
  <c r="K41" i="1" s="1"/>
  <c r="J42" i="1"/>
  <c r="K42" i="1" s="1"/>
  <c r="J14" i="1"/>
  <c r="K14" i="1" s="1"/>
  <c r="L14" i="1" s="1"/>
  <c r="J8" i="1"/>
  <c r="K38" i="1" l="1"/>
  <c r="L38" i="1" s="1"/>
  <c r="J40" i="1"/>
  <c r="H24" i="1"/>
  <c r="H40" i="1"/>
  <c r="G40" i="1" s="1"/>
  <c r="H41" i="1"/>
  <c r="H42" i="1"/>
  <c r="H37" i="1"/>
  <c r="G37" i="1" s="1"/>
  <c r="H38" i="1"/>
  <c r="H35" i="1"/>
  <c r="G35" i="1" s="1"/>
  <c r="H18" i="1"/>
  <c r="H20" i="1"/>
  <c r="G20" i="1" s="1"/>
  <c r="H15" i="1"/>
  <c r="G15" i="1" s="1"/>
  <c r="H14" i="1"/>
  <c r="G14" i="1" s="1"/>
  <c r="H13" i="1"/>
  <c r="G13" i="1" s="1"/>
  <c r="H12" i="1"/>
  <c r="G12" i="1" s="1"/>
  <c r="H11" i="1"/>
  <c r="G11" i="1" s="1"/>
  <c r="H10" i="1"/>
  <c r="H8" i="1"/>
  <c r="H6" i="1"/>
  <c r="G6" i="1" s="1"/>
  <c r="F6" i="1" s="1"/>
  <c r="H5" i="1"/>
  <c r="G5" i="1" s="1"/>
  <c r="K40" i="1" l="1"/>
  <c r="C22" i="1"/>
  <c r="J22" i="1" s="1"/>
  <c r="C20" i="1"/>
  <c r="I20" i="1" s="1"/>
  <c r="C18" i="1"/>
  <c r="I17" i="1"/>
  <c r="H17" i="1" s="1"/>
  <c r="G17" i="1" s="1"/>
  <c r="F17" i="1" s="1"/>
  <c r="C15" i="1"/>
  <c r="I15" i="1" s="1"/>
  <c r="I13" i="1"/>
  <c r="C12" i="1"/>
  <c r="I12" i="1" s="1"/>
  <c r="C11" i="1"/>
  <c r="I11" i="1" s="1"/>
  <c r="C10" i="1"/>
  <c r="I10" i="1" s="1"/>
  <c r="J9" i="1"/>
  <c r="I6" i="1"/>
  <c r="C5" i="1"/>
  <c r="I5" i="1" s="1"/>
  <c r="H9" i="1" l="1"/>
  <c r="K9" i="1"/>
  <c r="L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Szerző</author>
  </authors>
  <commentList>
    <comment ref="E31" authorId="0" shapeId="0" xr:uid="{00000000-0006-0000-0000-000001000000}">
      <text>
        <r>
          <rPr>
            <b/>
            <sz val="9"/>
            <color indexed="81"/>
            <rFont val="Segoe UI"/>
            <family val="2"/>
            <charset val="238"/>
          </rPr>
          <t>Szerző:</t>
        </r>
        <r>
          <rPr>
            <sz val="9"/>
            <color indexed="81"/>
            <rFont val="Segoe UI"/>
            <family val="2"/>
            <charset val="238"/>
          </rPr>
          <t xml:space="preserve">
200fő
</t>
        </r>
      </text>
    </comment>
  </commentList>
</comments>
</file>

<file path=xl/sharedStrings.xml><?xml version="1.0" encoding="utf-8"?>
<sst xmlns="http://schemas.openxmlformats.org/spreadsheetml/2006/main" count="140" uniqueCount="73">
  <si>
    <t>TÉTEL MEGNEVEZÉSE</t>
  </si>
  <si>
    <t>Egység</t>
  </si>
  <si>
    <t>mennyiség</t>
  </si>
  <si>
    <t>I.</t>
  </si>
  <si>
    <r>
      <rPr>
        <b/>
        <sz val="11"/>
        <rFont val="Calibri"/>
        <family val="2"/>
        <charset val="238"/>
        <scheme val="minor"/>
      </rPr>
      <t>ÉLŐFÜVES NAGYPÁLYA LÉTESÍTÉSE 68x105m</t>
    </r>
    <r>
      <rPr>
        <sz val="11"/>
        <rFont val="Calibri"/>
        <family val="2"/>
        <charset val="238"/>
        <scheme val="minor"/>
      </rPr>
      <t xml:space="preserve"> (111x72m) 7992 m2, 
Automata öntözőrendszer 24 vagy 36 szórófejjel, drainrendszerrel, szivárgó réteg alépítménnyel. Világítás, palánk és rugalmas alátét nélküli kivitelezést figyelembe véve, kitermelt föld helyszíni deponálásával, viacolor járda nélkül.</t>
    </r>
  </si>
  <si>
    <t>m2</t>
  </si>
  <si>
    <t>Ft</t>
  </si>
  <si>
    <t>Edzés szintű pályavilágítás
Világítás kiépítése kompletten, 200 lux átlagos horizontális megvilágításérékhez szükséges darabszámú, teljesítményű  fényvetővel, elektromos tervekkel, beüzemelve. A tervezett világítás a 68x105m labdarúgó nagypálya magas színvonalú, emelt edzésszintű világítására alkalmas. 4db 18-20 m oszlopon 4x4db 2000W fényvető.</t>
  </si>
  <si>
    <t>klt</t>
  </si>
  <si>
    <t>Labdafogó háló
5 m magas hálórendszer, min. 4 mm vtg. tüzihorganyzott zártszelvény oszlopokkal, alapvonal mögött lebetonozott pontalapokkal (beton anyagárral, díjjal, földmunkával együtt), UV álló műanyagból, 13x13 cm lyukosztású hálóval kompletten.</t>
  </si>
  <si>
    <t>fm</t>
  </si>
  <si>
    <t>Cserepad
7 m hosszúságú, fedett kispad kialakítása, acél vázszerkezettel, alapozással, műanyag ülésekkel, plexi fedéssel.</t>
  </si>
  <si>
    <t>db</t>
  </si>
  <si>
    <t>Pályafűtés kiépítése, méretezés szerint szükséges teljesítménnyel, tervekkel, beüzemelve, földmunka és pályafelület kialakításának költségei nélkül. 
A 111x72m  labdarúgó pálya esetén elektromos rendszerre vonatkozik, hálózatfejlesztéssel.</t>
  </si>
  <si>
    <t>ÉLŐFÜVES NAGYPÁLYA CSAK FŰCSERE  68x105m (111x72m) 7992 m2, 
 Világítás, palánk és rugalmas alátét nélküli kivitelezést figyelembe véve, kitermelt föld helyszíni deponálásával, viacolor járda, automata öntözőrendszer nélkül.</t>
  </si>
  <si>
    <t>II.</t>
  </si>
  <si>
    <t>Edzés szintű pályavilágítás
Világítás kiépítése kompletten, 200 lux átlagos horizontális megvilágításérékhez szükséges darabszámú, teljesítményű  fényvetővel, elektromos tervekkel, beüzemelve. A tervezett világítás a 12x24m labdarúgógrundpálya magas színvonalú, emelt edzésszintű világítására alkalmas. 400W fényvetőkkel.</t>
  </si>
  <si>
    <t>Palánk
Fix foci pályapalánk 1,1m magas, időjárás álló 18 mm vastag fehér színű rétegelt lemezből, tüzihorganyzott oszlopokkal, lebetonozva.</t>
  </si>
  <si>
    <r>
      <rPr>
        <b/>
        <sz val="11"/>
        <rFont val="Calibri"/>
        <family val="2"/>
        <charset val="238"/>
        <scheme val="minor"/>
      </rPr>
      <t>MŰFÜVES PÁLYA 20x40</t>
    </r>
    <r>
      <rPr>
        <sz val="11"/>
        <rFont val="Calibri"/>
        <family val="2"/>
        <charset val="238"/>
        <scheme val="minor"/>
      </rPr>
      <t xml:space="preserve">  (22x42=924m2) 
Viacolor járdával, drainrendszerrel, szivárgóréteg alépítménnyel, 6cm műfű színezett gumigranulátummal. Világítás, palánk és rugalmas alátét nélküli kivitelezést figyelembe véve, kitermelt föld helyszíni deponálásával.</t>
    </r>
  </si>
  <si>
    <t>Edzés szintű pályavilágítás
Világítás kiépítése kompletten, 200 lux átlagos horizontális megvilágításérékhez szükséges darabszámú, teljesítményű  fényvetővel, elektromos tervekkel, beüzemelve. A tervezett világítás a 20x40m labdarúgó kispálya magas színvonalú, emelt edzésszintű világítására alkalmas. 4db 12m oszlopon 4x2db 1000W fényvető.</t>
  </si>
  <si>
    <t>Légtartásos sátor 20x40m pálya lefedésére
Külső és belső membránhéj fedés, forgóajtóval, vészkijárattal, alapozással, hőlégbefúvó gépészettel, szabályozással, világítással, kompletten szállítva, szerelve, tervezéssel.</t>
  </si>
  <si>
    <r>
      <rPr>
        <b/>
        <sz val="11"/>
        <rFont val="Calibri"/>
        <family val="2"/>
        <charset val="238"/>
        <scheme val="minor"/>
      </rPr>
      <t xml:space="preserve">MŰFÜVES NAGYPÁLYA 105X68 </t>
    </r>
    <r>
      <rPr>
        <sz val="11"/>
        <rFont val="Calibri"/>
        <family val="2"/>
        <charset val="238"/>
        <scheme val="minor"/>
      </rPr>
      <t>(111x72=7992 m2) 
Drainrendszerrel, szivárgóréteg alépítménnyel, 6cm műfű színezett gumigranulátummal. Világítás, palánk és rugalmas alátét nélküli kivitelezést figyelembe véve, kitermelt föld helyszíni deponálásával, viacolor járda nélkül.</t>
    </r>
  </si>
  <si>
    <t>MŰFÜVES NAGYPÁLYA CSAK MŰFŰCSERE 105X68 (111x72=7992 m2)
Színezett gumigranulátummal töltött 6 cm műfű teljes felületen cserélve.</t>
  </si>
  <si>
    <t>III.</t>
  </si>
  <si>
    <r>
      <rPr>
        <b/>
        <sz val="11"/>
        <rFont val="Calibri"/>
        <family val="2"/>
        <charset val="238"/>
        <scheme val="minor"/>
      </rPr>
      <t>ÖLTÖZŐÉPÍTÉS</t>
    </r>
    <r>
      <rPr>
        <sz val="11"/>
        <rFont val="Calibri"/>
        <family val="2"/>
        <charset val="238"/>
        <scheme val="minor"/>
      </rPr>
      <t xml:space="preserve"> (tégla építésű, Ft/nettó m2)</t>
    </r>
  </si>
  <si>
    <t>Ft/ nettó m2</t>
  </si>
  <si>
    <t>ÖLTÖZŐFELÚJÍTÁS (tégla építésű, Ft/nettó m2)</t>
  </si>
  <si>
    <t>ÖLTÖZŐÉPÍTÉS (konténer vizesblokk 6x2,5m, Ft/nettó m2)</t>
  </si>
  <si>
    <t>IV.</t>
  </si>
  <si>
    <t>fő</t>
  </si>
  <si>
    <t>V.</t>
  </si>
  <si>
    <t>BIZTONSÁGI BERENDEZÉSEK, KÜLTÉRI BURKOLATOK</t>
  </si>
  <si>
    <t>MLSZ Infrastruktúra Szabályzatának megfelelő legalább 1,2 m magas korlát. A játéktér oldalvonalától legalább 3 m-re, a kapuk mögött 5 m távolságra, megszakítás nélkül, összefüggő kerítés (korlát) max 400m hosszban Hosszvaratos horganyzott 2"-os acél cső D30 beton alap.</t>
  </si>
  <si>
    <t>MLSZ Infrastruktúra Szabályzatának megfelelő játékoskijárat</t>
  </si>
  <si>
    <t>VIACOLOR burkolat készítése gyalogos forgalomra, 6 cm vastag térkő burkolattal kialakítva, 4 cm vastag 0-0,8 mm ágyazó homok, 10 cm vastag 0-20 mm zúzottkő ágyazat,10 cm vastag fagyálló folyami homokos kavicsréteg, földmunkával, szegélykővel. (műfüves pálya körül)</t>
  </si>
  <si>
    <t>VIACOLOR burkolat készítése gépjármű forgalomra, 8 cm vastag térkő burkolattal kialakítva,  0-0,8 mm ágyazó homok,  0-20 mm zúzottkő ágyazat, fagyálló folyami homokos kavicsréteg, földmunkával. (OTÉK szerinti parkoló létesítése)</t>
  </si>
  <si>
    <t>m2/ gk</t>
  </si>
  <si>
    <t>Aszfalt burkolat készítése busz, nehéztehergépjármű forgalomra, komplett alépítménnyel, földmunkával.  (OTÉK szerinti parkoló létesítése)</t>
  </si>
  <si>
    <t>m2/ busz</t>
  </si>
  <si>
    <t>I/a. Függelék: Ingatlan beruházás, felújítás elfogadható egységárak</t>
  </si>
  <si>
    <t>2015/16 sfp</t>
  </si>
  <si>
    <t>2014/15 sfp</t>
  </si>
  <si>
    <t>2013/14 sfp</t>
  </si>
  <si>
    <t>2011/12 sfp</t>
  </si>
  <si>
    <t>2012/13 sfp</t>
  </si>
  <si>
    <t>ÖLTÖZŐÉPÍTÉS (konténeröltöző vizesblokkal 6x2,5m, Ft/nettó m2)</t>
  </si>
  <si>
    <t>nettó A+D</t>
  </si>
  <si>
    <t>Ft/m2</t>
  </si>
  <si>
    <t>Ft/pár</t>
  </si>
  <si>
    <t>Ft/fm</t>
  </si>
  <si>
    <t>KÖNNYŰSZERKEZETES LELÁTÓ</t>
  </si>
  <si>
    <t>Tüzihorganyzott acélszerkezetből, műanyag ülésekkel, fa palló járófelülettel, összeszerelve, alapozás és fedés nélkül.</t>
  </si>
  <si>
    <t>Ft/fő</t>
  </si>
  <si>
    <r>
      <rPr>
        <b/>
        <sz val="11"/>
        <rFont val="Calibri"/>
        <family val="2"/>
        <charset val="238"/>
        <scheme val="minor"/>
      </rPr>
      <t xml:space="preserve">MŰFÜVES PÁLYA 12x24 </t>
    </r>
    <r>
      <rPr>
        <sz val="11"/>
        <rFont val="Calibri"/>
        <family val="2"/>
        <charset val="238"/>
        <scheme val="minor"/>
      </rPr>
      <t xml:space="preserve"> (14x26=364m2-ig)
Viacolor járdával, drainrendszerrel, szivárgóréteg alépítménnyel, 6cm műfű színezett gumigranulátummal. Világítás, palánk és rugalmas alátét nélküli kivitelezést figyelembe véve, kitermelt föld helyszíni deponálásával.</t>
    </r>
  </si>
  <si>
    <t>Könnyűszerkezetes, tüzihorganyzott, porszórt acélszerkezetből, összeszerelve, alapozással és könnyűszerkezetes, táblás fedéssel kialakított fűtött, hőszigetelt edzőcsarnok.</t>
  </si>
  <si>
    <t>TORNACSARNOK 20x40m játéktérrel, fűthető, tégla építésű, öltözővel kialakítva (gyengeáramú rendszerek, közmű, környezetrendezés, és mobília költsége külön tétel)</t>
  </si>
  <si>
    <t>nettó A+D
egységár</t>
  </si>
  <si>
    <t>2016/17 sfp</t>
  </si>
  <si>
    <t>2017/18 sfp</t>
  </si>
  <si>
    <t>2018/19 sfp</t>
  </si>
  <si>
    <t>MLSZ Infrastruktúra Szabályzatának megfelelő legalább 2,0 m magas, szilárd anyagból készült külső kerítés (nem tekercses drótkerítés)</t>
  </si>
  <si>
    <t>Legalább 1,8 m magas, szilárd anyagból készült külső kerítés (nem tekercses drótkerítés)</t>
  </si>
  <si>
    <t>Edzés szintű pályavilágítás
Világítás kiépítése kompletten, 350 lux átlagos horizontális megvilágításérékhez szükséges darabszámú, teljesítményű  fényvetővel, elektromos tervekkel, beüzemelve. A tervezett világítás a 68x105m labdarúgó nagypálya magas színvonalú, emelt edzésszintű világítására alkalmas. 4 db 25 m oszlopon 4x9 db 2000W fényvető, vagy 6 db 20-25m oszlopon 6x6db 2000W fényvető.</t>
  </si>
  <si>
    <t>2019/20 sfp</t>
  </si>
  <si>
    <t>SPORTÉPÜLET fűthető, tégla építésű (Sportszakmai szempontok szerint meghatáozott követelmények alapján összeállított tervezési programban rögzített funkciókkkal és műszaki tartalommal készülő sportcélú létesítmény. Felhasználható költségkeret maximum értéke, mely tartalmazza az épület építési költségeit, úgymint szerkezetépítés és szakipari munkákat, a gyengeáramú rendszerek, komfort és fenntarthatósági rendszerek árát is, de a közmű, külső környezetrendezés és a tervezés és műszaki ellenőrzés, mobil berendezési eszközök  költségei nélkül.)</t>
  </si>
  <si>
    <t>2020/21 sfp</t>
  </si>
  <si>
    <t>Infrastruktura szabályzatnak megfelelő könnyűszerkezetes lefedés (meglévő, vagy külön tételként új építésű) lelátóhoz.
Tüzihorganyzott, porszórt, vagy mázolt acélszerkezetből, összeszerelve, alapozással és könnyűszerkezetes, táblás fedéssel, járófelülettel, ülésekkel.</t>
  </si>
  <si>
    <t>2021/22 sfp</t>
  </si>
  <si>
    <t>MŰFÜVES NAGYPÁLYA 105X68 (111x72=7992 m2) 
Drainrendszerrel, szivárgóréteg alépítménnyel, 4cm műfű parafa granulátummal, és rugalmas alátéttel. Világítás, palánk nélküli kivitelezést figyelembe véve, kitermelt föld helyszíni deponálásával, viacolor járda nélkül.</t>
  </si>
  <si>
    <t>Hibrid pálya - hidrid szálak telepítése, beszövése</t>
  </si>
  <si>
    <t>Padbol 6x10m pálya műanyag talajborítással, horganylemez vázszerkezetű, edzettüveg felett fémháló oldalfalakkal, világítással, szállítva, telepítve, licensz használati joggal</t>
  </si>
  <si>
    <t>MŰFÜVES PÁLYA 20x40  (22x42=924m2) 
Viacolor járdával, drainrendszerrel, szivárgóréteg alépítménnyel,  4cm műfű parafa granulátummal, és rugalmas alátéttel. Világítás, palánk nélküli kivitelezést figyelembe véve, kitermelt föld helyszíni deponálásával.</t>
  </si>
  <si>
    <t xml:space="preserve">Könnyűszerkezet sátor 20x40m pálya lefedésére.
Fémvázas, kétrétegű membránhéj, temperált, fedett pálya, hőlégbefúvó gépészettel, szabályozással, világítással, alapozással, kompletten szállítva, szerelve (pályaépítés, közmű, környezetrendezés, palánk nélkül)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</si>
</sst>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F_t_-;\-* #,##0.00\ _F_t_-;_-* &quot;-&quot;??\ _F_t_-;_-@_-"/>
    <numFmt numFmtId="165" formatCode="_-* #,##0\ _F_t_-;\-* #,##0\ _F_t_-;_-* &quot;-&quot;??\ _F_t_-;_-@_-"/>
  </numFmts>
  <fonts count="10" x14ac:knownFonts="1">
    <font>
      <sz val="11"/>
      <color theme="1"/>
      <name val="Calibri"/>
      <family val="2"/>
      <charset val="238"/>
      <scheme val="minor"/>
    </font>
    <font>
      <sz val="11"/>
      <color indexed="8"/>
      <name val="Calibri"/>
      <family val="2"/>
      <charset val="238"/>
    </font>
    <font>
      <b/>
      <sz val="11"/>
      <name val="Calibri"/>
      <family val="2"/>
      <charset val="238"/>
    </font>
    <font>
      <sz val="11"/>
      <name val="Calibri"/>
      <family val="2"/>
      <charset val="238"/>
    </font>
    <font>
      <b/>
      <sz val="11"/>
      <name val="Calibri"/>
      <family val="2"/>
      <charset val="238"/>
      <scheme val="minor"/>
    </font>
    <font>
      <sz val="11"/>
      <name val="Calibri"/>
      <family val="2"/>
      <charset val="238"/>
      <scheme val="minor"/>
    </font>
    <font>
      <b/>
      <sz val="11"/>
      <color indexed="8"/>
      <name val="Calibri"/>
      <family val="2"/>
      <charset val="238"/>
    </font>
    <font>
      <b/>
      <i/>
      <sz val="14"/>
      <name val="Calibri"/>
      <family val="2"/>
      <charset val="238"/>
    </font>
    <font>
      <sz val="9"/>
      <color indexed="81"/>
      <name val="Segoe UI"/>
      <family val="2"/>
      <charset val="238"/>
    </font>
    <font>
      <b/>
      <sz val="9"/>
      <color indexed="81"/>
      <name val="Segoe UI"/>
      <family val="2"/>
      <charset val="238"/>
    </font>
  </fonts>
  <fills count="3">
    <fill>
      <patternFill patternType="none"/>
    </fill>
    <fill>
      <patternFill patternType="gray125"/>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164" fontId="1" fillId="0" borderId="0" applyFont="0" applyFill="0" applyBorder="0" applyAlignment="0" applyProtection="0"/>
  </cellStyleXfs>
  <cellXfs count="38">
    <xf numFmtId="0" fontId="0" fillId="0" borderId="0" xfId="0"/>
    <xf numFmtId="49" fontId="2" fillId="0" borderId="0" xfId="1" applyNumberFormat="1" applyFont="1" applyAlignment="1">
      <alignment horizontal="right" vertical="top"/>
    </xf>
    <xf numFmtId="0" fontId="3" fillId="0" borderId="0" xfId="1" applyFont="1"/>
    <xf numFmtId="0" fontId="1" fillId="0" borderId="0" xfId="1"/>
    <xf numFmtId="49" fontId="5" fillId="0" borderId="1" xfId="1" applyNumberFormat="1" applyFont="1" applyFill="1" applyBorder="1" applyAlignment="1">
      <alignment horizontal="left" vertical="top" wrapText="1"/>
    </xf>
    <xf numFmtId="0" fontId="5" fillId="0" borderId="1" xfId="1" applyFont="1" applyFill="1" applyBorder="1" applyAlignment="1">
      <alignment horizontal="center" vertical="top" wrapText="1"/>
    </xf>
    <xf numFmtId="0" fontId="5" fillId="0" borderId="3" xfId="1" applyFont="1" applyFill="1" applyBorder="1" applyAlignment="1">
      <alignment vertical="top" wrapText="1"/>
    </xf>
    <xf numFmtId="165" fontId="5" fillId="0" borderId="1" xfId="2" applyNumberFormat="1" applyFont="1" applyFill="1" applyBorder="1" applyAlignment="1">
      <alignment horizontal="center" vertical="top" wrapText="1"/>
    </xf>
    <xf numFmtId="165" fontId="5" fillId="0" borderId="1" xfId="2" applyNumberFormat="1" applyFont="1" applyFill="1" applyBorder="1" applyAlignment="1">
      <alignment vertical="top" wrapText="1"/>
    </xf>
    <xf numFmtId="0" fontId="5" fillId="0" borderId="0" xfId="1" applyFont="1" applyFill="1" applyBorder="1" applyAlignment="1">
      <alignment vertical="top" wrapText="1"/>
    </xf>
    <xf numFmtId="49" fontId="5" fillId="0" borderId="1" xfId="2" applyNumberFormat="1" applyFont="1" applyFill="1" applyBorder="1" applyAlignment="1">
      <alignment horizontal="left" vertical="top" wrapText="1"/>
    </xf>
    <xf numFmtId="165" fontId="5" fillId="0" borderId="0" xfId="2" applyNumberFormat="1" applyFont="1" applyFill="1" applyBorder="1" applyAlignment="1">
      <alignment vertical="top" wrapText="1"/>
    </xf>
    <xf numFmtId="165" fontId="5" fillId="0" borderId="1" xfId="2" applyNumberFormat="1" applyFont="1" applyFill="1" applyBorder="1" applyAlignment="1">
      <alignment vertical="top"/>
    </xf>
    <xf numFmtId="0" fontId="1" fillId="0" borderId="0" xfId="1" applyFill="1" applyBorder="1"/>
    <xf numFmtId="49" fontId="6" fillId="0" borderId="0" xfId="1" applyNumberFormat="1" applyFont="1" applyAlignment="1">
      <alignment horizontal="right" vertical="top"/>
    </xf>
    <xf numFmtId="0" fontId="7" fillId="0" borderId="0" xfId="1" applyFont="1"/>
    <xf numFmtId="49" fontId="5" fillId="0" borderId="1" xfId="1" applyNumberFormat="1" applyFont="1" applyFill="1" applyBorder="1" applyAlignment="1">
      <alignment horizontal="left" vertical="top" wrapText="1"/>
    </xf>
    <xf numFmtId="3" fontId="5" fillId="0" borderId="1" xfId="2" applyNumberFormat="1" applyFont="1" applyFill="1" applyBorder="1" applyAlignment="1">
      <alignment horizontal="center" vertical="top" wrapText="1"/>
    </xf>
    <xf numFmtId="3" fontId="5" fillId="0" borderId="1" xfId="2" applyNumberFormat="1" applyFont="1" applyFill="1" applyBorder="1" applyAlignment="1">
      <alignment horizontal="center" vertical="top"/>
    </xf>
    <xf numFmtId="49" fontId="2" fillId="2" borderId="0" xfId="1" applyNumberFormat="1" applyFont="1" applyFill="1" applyAlignment="1">
      <alignment horizontal="right" vertical="top"/>
    </xf>
    <xf numFmtId="49" fontId="5" fillId="2" borderId="1" xfId="1" applyNumberFormat="1" applyFont="1" applyFill="1" applyBorder="1" applyAlignment="1">
      <alignment horizontal="left" vertical="top" wrapText="1"/>
    </xf>
    <xf numFmtId="165" fontId="5" fillId="2" borderId="1" xfId="2" applyNumberFormat="1" applyFont="1" applyFill="1" applyBorder="1" applyAlignment="1">
      <alignment horizontal="center" vertical="top" wrapText="1"/>
    </xf>
    <xf numFmtId="3" fontId="5" fillId="2" borderId="1" xfId="2" applyNumberFormat="1" applyFont="1" applyFill="1" applyBorder="1" applyAlignment="1">
      <alignment horizontal="center" vertical="top" wrapText="1"/>
    </xf>
    <xf numFmtId="165" fontId="5" fillId="2" borderId="1" xfId="2" applyNumberFormat="1" applyFont="1" applyFill="1" applyBorder="1" applyAlignment="1">
      <alignment vertical="top" wrapText="1"/>
    </xf>
    <xf numFmtId="49" fontId="5" fillId="2" borderId="1" xfId="2" applyNumberFormat="1" applyFont="1" applyFill="1" applyBorder="1" applyAlignment="1">
      <alignment horizontal="left" vertical="top" wrapText="1"/>
    </xf>
    <xf numFmtId="3" fontId="5" fillId="2" borderId="1" xfId="2" applyNumberFormat="1" applyFont="1" applyFill="1" applyBorder="1" applyAlignment="1">
      <alignment horizontal="center" vertical="top"/>
    </xf>
    <xf numFmtId="165" fontId="5" fillId="2" borderId="1" xfId="2" applyNumberFormat="1" applyFont="1" applyFill="1" applyBorder="1" applyAlignment="1">
      <alignment vertical="top"/>
    </xf>
    <xf numFmtId="49" fontId="4" fillId="2" borderId="1" xfId="1" applyNumberFormat="1" applyFont="1" applyFill="1" applyBorder="1" applyAlignment="1">
      <alignment horizontal="left" vertical="top" wrapText="1"/>
    </xf>
    <xf numFmtId="49" fontId="2" fillId="0" borderId="0" xfId="1" applyNumberFormat="1" applyFont="1" applyFill="1" applyAlignment="1">
      <alignment horizontal="right" vertical="top"/>
    </xf>
    <xf numFmtId="0" fontId="1" fillId="0" borderId="0" xfId="1" applyFill="1"/>
    <xf numFmtId="49" fontId="5" fillId="0" borderId="1" xfId="1" applyNumberFormat="1" applyFont="1" applyFill="1" applyBorder="1" applyAlignment="1">
      <alignment horizontal="left" vertical="top" wrapText="1"/>
    </xf>
    <xf numFmtId="49" fontId="5" fillId="0" borderId="1" xfId="1" applyNumberFormat="1" applyFont="1" applyFill="1" applyBorder="1" applyAlignment="1">
      <alignment horizontal="left" vertical="top" wrapText="1"/>
    </xf>
    <xf numFmtId="49" fontId="5" fillId="0" borderId="1" xfId="1" applyNumberFormat="1" applyFont="1" applyFill="1" applyBorder="1" applyAlignment="1">
      <alignment horizontal="left" vertical="top" wrapText="1"/>
    </xf>
    <xf numFmtId="49" fontId="5" fillId="0" borderId="1" xfId="1" applyNumberFormat="1" applyFont="1" applyFill="1" applyBorder="1" applyAlignment="1">
      <alignment horizontal="left" vertical="top" wrapText="1"/>
    </xf>
    <xf numFmtId="49" fontId="5" fillId="0" borderId="1" xfId="1" applyNumberFormat="1" applyFont="1" applyFill="1" applyBorder="1" applyAlignment="1">
      <alignment horizontal="left" vertical="top" wrapText="1"/>
    </xf>
    <xf numFmtId="49" fontId="5" fillId="0" borderId="1" xfId="1" applyNumberFormat="1" applyFont="1" applyFill="1" applyBorder="1" applyAlignment="1">
      <alignment horizontal="left" vertical="top" wrapText="1"/>
    </xf>
    <xf numFmtId="0" fontId="5" fillId="0" borderId="2" xfId="1" applyFont="1" applyFill="1" applyBorder="1" applyAlignment="1">
      <alignment horizontal="center" vertical="top" wrapText="1"/>
    </xf>
    <xf numFmtId="0" fontId="5" fillId="0" borderId="4" xfId="1" applyFont="1" applyFill="1" applyBorder="1" applyAlignment="1">
      <alignment horizontal="center" vertical="top" wrapText="1"/>
    </xf>
  </cellXfs>
  <cellStyles count="3">
    <cellStyle name="Ezres 2" xfId="2" xr:uid="{00000000-0005-0000-0000-000000000000}"/>
    <cellStyle name="Normál" xfId="0" builtinId="0"/>
    <cellStyle name="Normá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2"/>
  <sheetViews>
    <sheetView tabSelected="1" zoomScale="63" zoomScaleNormal="63" zoomScaleSheetLayoutView="80" workbookViewId="0">
      <pane xSplit="1" ySplit="4" topLeftCell="B5" activePane="bottomRight" state="frozen"/>
      <selection pane="topRight" activeCell="B1" sqref="B1"/>
      <selection pane="bottomLeft" activeCell="A5" sqref="A5"/>
      <selection pane="bottomRight" activeCell="B1" sqref="B1"/>
    </sheetView>
  </sheetViews>
  <sheetFormatPr defaultColWidth="9.109375" defaultRowHeight="14.4" x14ac:dyDescent="0.3"/>
  <cols>
    <col min="1" max="1" width="3.44140625" style="14" bestFit="1" customWidth="1"/>
    <col min="2" max="2" width="84.33203125" style="3" customWidth="1"/>
    <col min="3" max="3" width="15.88671875" style="3" customWidth="1"/>
    <col min="4" max="4" width="5.33203125" style="3" customWidth="1"/>
    <col min="5" max="5" width="12.88671875" style="3" hidden="1" customWidth="1"/>
    <col min="6" max="8" width="12.88671875" style="3" customWidth="1"/>
    <col min="9" max="9" width="12.88671875" style="3" hidden="1" customWidth="1"/>
    <col min="10" max="13" width="12.88671875" style="3" customWidth="1"/>
    <col min="14" max="16" width="12.88671875" style="2" customWidth="1"/>
    <col min="17" max="17" width="15.88671875" style="3" customWidth="1"/>
    <col min="18" max="18" width="57.33203125" style="3" customWidth="1"/>
    <col min="19" max="16384" width="9.109375" style="3"/>
  </cols>
  <sheetData>
    <row r="1" spans="1:18" ht="18" x14ac:dyDescent="0.35">
      <c r="A1" s="1"/>
      <c r="B1" s="15" t="s">
        <v>39</v>
      </c>
      <c r="C1" s="2"/>
      <c r="D1" s="2"/>
      <c r="E1" s="2"/>
      <c r="F1" s="2"/>
      <c r="G1" s="2"/>
      <c r="H1" s="2"/>
      <c r="I1" s="2"/>
      <c r="J1" s="2"/>
      <c r="K1" s="2"/>
      <c r="L1" s="2"/>
      <c r="M1" s="2"/>
      <c r="Q1" s="2"/>
      <c r="R1" s="2"/>
    </row>
    <row r="2" spans="1:18" x14ac:dyDescent="0.3">
      <c r="A2" s="1"/>
      <c r="B2" s="2"/>
      <c r="C2" s="2"/>
      <c r="D2" s="2"/>
      <c r="E2" s="2"/>
      <c r="F2" s="2"/>
      <c r="G2" s="2"/>
      <c r="H2" s="2"/>
      <c r="I2" s="2"/>
      <c r="J2" s="2"/>
      <c r="K2" s="2"/>
      <c r="L2" s="2"/>
      <c r="M2" s="2"/>
      <c r="Q2" s="2"/>
      <c r="R2" s="2"/>
    </row>
    <row r="3" spans="1:18" x14ac:dyDescent="0.3">
      <c r="A3" s="1"/>
      <c r="B3" s="35" t="s">
        <v>0</v>
      </c>
      <c r="C3" s="31"/>
      <c r="D3" s="31"/>
      <c r="E3" s="5" t="s">
        <v>43</v>
      </c>
      <c r="F3" s="5" t="s">
        <v>44</v>
      </c>
      <c r="G3" s="5" t="s">
        <v>42</v>
      </c>
      <c r="H3" s="5" t="s">
        <v>41</v>
      </c>
      <c r="I3" s="5" t="s">
        <v>40</v>
      </c>
      <c r="J3" s="5" t="s">
        <v>40</v>
      </c>
      <c r="K3" s="5" t="s">
        <v>57</v>
      </c>
      <c r="L3" s="5" t="s">
        <v>58</v>
      </c>
      <c r="M3" s="5" t="s">
        <v>59</v>
      </c>
      <c r="N3" s="5" t="s">
        <v>63</v>
      </c>
      <c r="O3" s="5" t="s">
        <v>65</v>
      </c>
      <c r="P3" s="5" t="s">
        <v>67</v>
      </c>
      <c r="Q3" s="36" t="s">
        <v>1</v>
      </c>
      <c r="R3" s="6"/>
    </row>
    <row r="4" spans="1:18" ht="28.8" x14ac:dyDescent="0.3">
      <c r="A4" s="1"/>
      <c r="B4" s="35"/>
      <c r="C4" s="31" t="s">
        <v>2</v>
      </c>
      <c r="D4" s="31"/>
      <c r="E4" s="5" t="s">
        <v>46</v>
      </c>
      <c r="F4" s="5" t="s">
        <v>46</v>
      </c>
      <c r="G4" s="5" t="s">
        <v>46</v>
      </c>
      <c r="H4" s="5" t="s">
        <v>46</v>
      </c>
      <c r="I4" s="5" t="s">
        <v>56</v>
      </c>
      <c r="J4" s="5" t="s">
        <v>46</v>
      </c>
      <c r="K4" s="5" t="s">
        <v>46</v>
      </c>
      <c r="L4" s="5" t="s">
        <v>46</v>
      </c>
      <c r="M4" s="5" t="s">
        <v>46</v>
      </c>
      <c r="N4" s="5" t="s">
        <v>46</v>
      </c>
      <c r="O4" s="5" t="s">
        <v>46</v>
      </c>
      <c r="P4" s="5" t="s">
        <v>46</v>
      </c>
      <c r="Q4" s="37"/>
      <c r="R4" s="6"/>
    </row>
    <row r="5" spans="1:18" ht="57.6" x14ac:dyDescent="0.3">
      <c r="A5" s="19" t="s">
        <v>3</v>
      </c>
      <c r="B5" s="20" t="s">
        <v>4</v>
      </c>
      <c r="C5" s="21">
        <f>111*72</f>
        <v>7992</v>
      </c>
      <c r="D5" s="20" t="s">
        <v>5</v>
      </c>
      <c r="E5" s="22">
        <v>46265600</v>
      </c>
      <c r="F5" s="22">
        <f>E5</f>
        <v>46265600</v>
      </c>
      <c r="G5" s="22">
        <f>H5</f>
        <v>52300000</v>
      </c>
      <c r="H5" s="22">
        <f>J5</f>
        <v>52300000</v>
      </c>
      <c r="I5" s="22">
        <f>J5/C5</f>
        <v>6544.0440440440443</v>
      </c>
      <c r="J5" s="22">
        <v>52300000</v>
      </c>
      <c r="K5" s="22">
        <f>+J5*1.02</f>
        <v>53346000</v>
      </c>
      <c r="L5" s="22">
        <f>+K5*1.015</f>
        <v>54146189.999999993</v>
      </c>
      <c r="M5" s="22">
        <v>56410000</v>
      </c>
      <c r="N5" s="22">
        <f>56410000*1.067</f>
        <v>60189470</v>
      </c>
      <c r="O5" s="22">
        <f>N5*1.095</f>
        <v>65907469.649999999</v>
      </c>
      <c r="P5" s="22">
        <v>70521000</v>
      </c>
      <c r="Q5" s="23" t="s">
        <v>6</v>
      </c>
      <c r="R5" s="9"/>
    </row>
    <row r="6" spans="1:18" ht="72" x14ac:dyDescent="0.3">
      <c r="A6" s="1"/>
      <c r="B6" s="4" t="s">
        <v>7</v>
      </c>
      <c r="C6" s="7">
        <v>1</v>
      </c>
      <c r="D6" s="4" t="s">
        <v>8</v>
      </c>
      <c r="E6" s="17"/>
      <c r="F6" s="17">
        <f>G6</f>
        <v>11750000</v>
      </c>
      <c r="G6" s="17">
        <f>H6</f>
        <v>11750000</v>
      </c>
      <c r="H6" s="17">
        <f>J6</f>
        <v>11750000</v>
      </c>
      <c r="I6" s="17">
        <f>J6/C6</f>
        <v>11750000</v>
      </c>
      <c r="J6" s="17">
        <v>11750000</v>
      </c>
      <c r="K6" s="17">
        <v>12000000</v>
      </c>
      <c r="L6" s="17">
        <f>12000000*1.015</f>
        <v>12179999.999999998</v>
      </c>
      <c r="M6" s="17">
        <v>12620000</v>
      </c>
      <c r="N6" s="17">
        <v>13450000</v>
      </c>
      <c r="O6" s="17">
        <f>N6*1.087</f>
        <v>14620150</v>
      </c>
      <c r="P6" s="17">
        <v>15650000</v>
      </c>
      <c r="Q6" s="8" t="s">
        <v>6</v>
      </c>
      <c r="R6" s="9"/>
    </row>
    <row r="7" spans="1:18" ht="72" x14ac:dyDescent="0.3">
      <c r="A7" s="1"/>
      <c r="B7" s="31" t="s">
        <v>62</v>
      </c>
      <c r="C7" s="7">
        <v>1</v>
      </c>
      <c r="D7" s="31" t="s">
        <v>8</v>
      </c>
      <c r="E7" s="17"/>
      <c r="F7" s="17"/>
      <c r="G7" s="17"/>
      <c r="H7" s="17"/>
      <c r="I7" s="17"/>
      <c r="J7" s="17"/>
      <c r="K7" s="17"/>
      <c r="L7" s="17">
        <v>24596769</v>
      </c>
      <c r="M7" s="17">
        <f>L7*1.036</f>
        <v>25482252.684</v>
      </c>
      <c r="N7" s="17">
        <v>27200000</v>
      </c>
      <c r="O7" s="17">
        <f>N7*1.087</f>
        <v>29566400</v>
      </c>
      <c r="P7" s="17">
        <v>31650000</v>
      </c>
      <c r="Q7" s="8" t="s">
        <v>6</v>
      </c>
      <c r="R7" s="9"/>
    </row>
    <row r="8" spans="1:18" ht="57.6" x14ac:dyDescent="0.3">
      <c r="A8" s="1"/>
      <c r="B8" s="4" t="s">
        <v>9</v>
      </c>
      <c r="C8" s="7">
        <v>60</v>
      </c>
      <c r="D8" s="4" t="s">
        <v>10</v>
      </c>
      <c r="E8" s="17">
        <v>15700</v>
      </c>
      <c r="F8" s="17">
        <f>E8</f>
        <v>15700</v>
      </c>
      <c r="G8" s="17">
        <v>19000</v>
      </c>
      <c r="H8" s="17">
        <f>I8</f>
        <v>19600</v>
      </c>
      <c r="I8" s="17">
        <v>19600</v>
      </c>
      <c r="J8" s="18">
        <f>I8</f>
        <v>19600</v>
      </c>
      <c r="K8" s="17">
        <v>20000</v>
      </c>
      <c r="L8" s="17">
        <f>20000*1.015</f>
        <v>20299.999999999996</v>
      </c>
      <c r="M8" s="17">
        <v>21000</v>
      </c>
      <c r="N8" s="17">
        <v>22400</v>
      </c>
      <c r="O8" s="17">
        <v>24350</v>
      </c>
      <c r="P8" s="17">
        <f>O8*1.07</f>
        <v>26054.5</v>
      </c>
      <c r="Q8" s="8" t="s">
        <v>49</v>
      </c>
      <c r="R8" s="9"/>
    </row>
    <row r="9" spans="1:18" ht="43.2" x14ac:dyDescent="0.3">
      <c r="A9" s="1"/>
      <c r="B9" s="4" t="s">
        <v>11</v>
      </c>
      <c r="C9" s="7">
        <v>2</v>
      </c>
      <c r="D9" s="4" t="s">
        <v>12</v>
      </c>
      <c r="E9" s="17"/>
      <c r="F9" s="17"/>
      <c r="G9" s="17"/>
      <c r="H9" s="17">
        <f>J9</f>
        <v>1710000</v>
      </c>
      <c r="I9" s="17">
        <v>855000</v>
      </c>
      <c r="J9" s="17">
        <f>C9*I9</f>
        <v>1710000</v>
      </c>
      <c r="K9" s="17">
        <f>J9</f>
        <v>1710000</v>
      </c>
      <c r="L9" s="17">
        <f>K9*1.015</f>
        <v>1735649.9999999998</v>
      </c>
      <c r="M9" s="17">
        <v>1800000</v>
      </c>
      <c r="N9" s="17">
        <f>1800000*1.067</f>
        <v>1920600</v>
      </c>
      <c r="O9" s="17">
        <v>2087700</v>
      </c>
      <c r="P9" s="17">
        <v>2235000</v>
      </c>
      <c r="Q9" s="8" t="s">
        <v>48</v>
      </c>
      <c r="R9" s="9"/>
    </row>
    <row r="10" spans="1:18" ht="43.2" x14ac:dyDescent="0.3">
      <c r="A10" s="1"/>
      <c r="B10" s="4" t="s">
        <v>13</v>
      </c>
      <c r="C10" s="7">
        <f>111*72</f>
        <v>7992</v>
      </c>
      <c r="D10" s="4" t="s">
        <v>5</v>
      </c>
      <c r="E10" s="17"/>
      <c r="F10" s="17"/>
      <c r="G10" s="17"/>
      <c r="H10" s="17">
        <f>J10</f>
        <v>40000000</v>
      </c>
      <c r="I10" s="17">
        <f>J10/C10</f>
        <v>5005.0050050050049</v>
      </c>
      <c r="J10" s="17">
        <v>40000000</v>
      </c>
      <c r="K10" s="17">
        <f>J10*1.02</f>
        <v>40800000</v>
      </c>
      <c r="L10" s="17">
        <f>K10*1.015</f>
        <v>41411999.999999993</v>
      </c>
      <c r="M10" s="17">
        <v>42900000</v>
      </c>
      <c r="N10" s="17">
        <f>42900000*1.067</f>
        <v>45774300</v>
      </c>
      <c r="O10" s="17">
        <v>49750000</v>
      </c>
      <c r="P10" s="17">
        <f t="shared" ref="P10:P11" si="0">O10*1.07</f>
        <v>53232500</v>
      </c>
      <c r="Q10" s="8" t="s">
        <v>6</v>
      </c>
      <c r="R10" s="9"/>
    </row>
    <row r="11" spans="1:18" ht="43.2" x14ac:dyDescent="0.3">
      <c r="A11" s="1"/>
      <c r="B11" s="4" t="s">
        <v>14</v>
      </c>
      <c r="C11" s="7">
        <f>111*72</f>
        <v>7992</v>
      </c>
      <c r="D11" s="4" t="s">
        <v>5</v>
      </c>
      <c r="E11" s="17">
        <v>17156400</v>
      </c>
      <c r="F11" s="17">
        <f>E11</f>
        <v>17156400</v>
      </c>
      <c r="G11" s="17">
        <f t="shared" ref="G11:G17" si="1">H11</f>
        <v>17250000</v>
      </c>
      <c r="H11" s="17">
        <f>J11</f>
        <v>17250000</v>
      </c>
      <c r="I11" s="17">
        <f>J11/C11</f>
        <v>2158.4084084084084</v>
      </c>
      <c r="J11" s="17">
        <v>17250000</v>
      </c>
      <c r="K11" s="17">
        <f>J11*1.02</f>
        <v>17595000</v>
      </c>
      <c r="L11" s="17">
        <f>K11*1.015</f>
        <v>17858925</v>
      </c>
      <c r="M11" s="17">
        <v>18500000</v>
      </c>
      <c r="N11" s="17">
        <f>18500000*1.067</f>
        <v>19739500</v>
      </c>
      <c r="O11" s="17">
        <v>21615000</v>
      </c>
      <c r="P11" s="17">
        <f t="shared" si="0"/>
        <v>23128050</v>
      </c>
      <c r="Q11" s="8" t="s">
        <v>6</v>
      </c>
      <c r="R11" s="9"/>
    </row>
    <row r="12" spans="1:18" ht="57.6" x14ac:dyDescent="0.3">
      <c r="A12" s="19" t="s">
        <v>15</v>
      </c>
      <c r="B12" s="20" t="s">
        <v>53</v>
      </c>
      <c r="C12" s="21">
        <f>14 *26</f>
        <v>364</v>
      </c>
      <c r="D12" s="20" t="s">
        <v>5</v>
      </c>
      <c r="E12" s="22"/>
      <c r="F12" s="22"/>
      <c r="G12" s="22">
        <f t="shared" si="1"/>
        <v>5950000</v>
      </c>
      <c r="H12" s="22">
        <f>J12</f>
        <v>5950000</v>
      </c>
      <c r="I12" s="22">
        <f>J12/C12</f>
        <v>16346.153846153846</v>
      </c>
      <c r="J12" s="22">
        <v>5950000</v>
      </c>
      <c r="K12" s="22"/>
      <c r="L12" s="22">
        <f>J12*1.02*1.015</f>
        <v>6160034.9999999991</v>
      </c>
      <c r="M12" s="22">
        <v>6385501</v>
      </c>
      <c r="N12" s="22">
        <f>6385501*1.067</f>
        <v>6813329.5669999998</v>
      </c>
      <c r="O12" s="22">
        <v>7460000</v>
      </c>
      <c r="P12" s="22">
        <f>O12*1.07</f>
        <v>7982200</v>
      </c>
      <c r="Q12" s="23" t="s">
        <v>6</v>
      </c>
      <c r="R12" s="9"/>
    </row>
    <row r="13" spans="1:18" ht="72" x14ac:dyDescent="0.3">
      <c r="A13" s="1"/>
      <c r="B13" s="4" t="s">
        <v>16</v>
      </c>
      <c r="C13" s="7">
        <v>1</v>
      </c>
      <c r="D13" s="4" t="s">
        <v>8</v>
      </c>
      <c r="E13" s="17"/>
      <c r="F13" s="17"/>
      <c r="G13" s="17">
        <f t="shared" si="1"/>
        <v>3250000</v>
      </c>
      <c r="H13" s="17">
        <f>J13</f>
        <v>3250000</v>
      </c>
      <c r="I13" s="17">
        <f>J13/C13</f>
        <v>3250000</v>
      </c>
      <c r="J13" s="17">
        <v>3250000</v>
      </c>
      <c r="K13" s="17">
        <f>J13*1.02</f>
        <v>3315000</v>
      </c>
      <c r="L13" s="17">
        <f>K13*1.015</f>
        <v>3364724.9999999995</v>
      </c>
      <c r="M13" s="17">
        <f>3500000</f>
        <v>3500000</v>
      </c>
      <c r="N13" s="17">
        <v>3750000</v>
      </c>
      <c r="O13" s="17">
        <f>N13*1.087</f>
        <v>4076250</v>
      </c>
      <c r="P13" s="17">
        <v>4362000</v>
      </c>
      <c r="Q13" s="8" t="s">
        <v>6</v>
      </c>
      <c r="R13" s="9"/>
    </row>
    <row r="14" spans="1:18" ht="43.2" x14ac:dyDescent="0.3">
      <c r="A14" s="1"/>
      <c r="B14" s="4" t="s">
        <v>17</v>
      </c>
      <c r="C14" s="7">
        <v>80</v>
      </c>
      <c r="D14" s="4" t="s">
        <v>10</v>
      </c>
      <c r="E14" s="17">
        <v>26700</v>
      </c>
      <c r="F14" s="17">
        <f>E14</f>
        <v>26700</v>
      </c>
      <c r="G14" s="17">
        <f t="shared" si="1"/>
        <v>27500</v>
      </c>
      <c r="H14" s="17">
        <f>I14</f>
        <v>27500</v>
      </c>
      <c r="I14" s="17">
        <v>27500</v>
      </c>
      <c r="J14" s="18">
        <f>I14</f>
        <v>27500</v>
      </c>
      <c r="K14" s="17">
        <f>J14*1.02</f>
        <v>28050</v>
      </c>
      <c r="L14" s="17">
        <f>K14*1.015</f>
        <v>28470.749999999996</v>
      </c>
      <c r="M14" s="17">
        <v>29500</v>
      </c>
      <c r="N14" s="17">
        <v>31500</v>
      </c>
      <c r="O14" s="17">
        <v>34250</v>
      </c>
      <c r="P14" s="17">
        <v>36650</v>
      </c>
      <c r="Q14" s="8" t="s">
        <v>47</v>
      </c>
      <c r="R14" s="9"/>
    </row>
    <row r="15" spans="1:18" ht="57.6" x14ac:dyDescent="0.3">
      <c r="A15" s="19"/>
      <c r="B15" s="20" t="s">
        <v>18</v>
      </c>
      <c r="C15" s="21">
        <f>22*42</f>
        <v>924</v>
      </c>
      <c r="D15" s="20" t="s">
        <v>5</v>
      </c>
      <c r="E15" s="22">
        <v>11487250</v>
      </c>
      <c r="F15" s="22">
        <f>E15</f>
        <v>11487250</v>
      </c>
      <c r="G15" s="22">
        <f t="shared" si="1"/>
        <v>13450000</v>
      </c>
      <c r="H15" s="22">
        <f>J15</f>
        <v>13450000</v>
      </c>
      <c r="I15" s="22">
        <f>J15/C15</f>
        <v>14556.277056277057</v>
      </c>
      <c r="J15" s="22">
        <v>13450000</v>
      </c>
      <c r="K15" s="22"/>
      <c r="L15" s="22">
        <f>13950000</f>
        <v>13950000</v>
      </c>
      <c r="M15" s="22">
        <v>14480000</v>
      </c>
      <c r="N15" s="22">
        <f>14480000*1.067</f>
        <v>15450160</v>
      </c>
      <c r="O15" s="22">
        <v>16900000</v>
      </c>
      <c r="P15" s="22">
        <f>O15*1.07</f>
        <v>18083000</v>
      </c>
      <c r="Q15" s="23" t="s">
        <v>6</v>
      </c>
      <c r="R15" s="9"/>
    </row>
    <row r="16" spans="1:18" s="29" customFormat="1" ht="57.6" x14ac:dyDescent="0.3">
      <c r="A16" s="28"/>
      <c r="B16" s="34" t="s">
        <v>71</v>
      </c>
      <c r="C16" s="7">
        <v>924</v>
      </c>
      <c r="D16" s="34" t="s">
        <v>5</v>
      </c>
      <c r="E16" s="17"/>
      <c r="F16" s="17"/>
      <c r="G16" s="17"/>
      <c r="H16" s="17"/>
      <c r="I16" s="17"/>
      <c r="J16" s="17"/>
      <c r="K16" s="17"/>
      <c r="L16" s="17"/>
      <c r="M16" s="17"/>
      <c r="N16" s="17"/>
      <c r="O16" s="17"/>
      <c r="P16" s="17">
        <v>21950000</v>
      </c>
      <c r="Q16" s="8" t="s">
        <v>6</v>
      </c>
      <c r="R16" s="9"/>
    </row>
    <row r="17" spans="1:22" ht="72" x14ac:dyDescent="0.3">
      <c r="A17" s="1"/>
      <c r="B17" s="4" t="s">
        <v>19</v>
      </c>
      <c r="C17" s="7">
        <v>1</v>
      </c>
      <c r="D17" s="4" t="s">
        <v>8</v>
      </c>
      <c r="E17" s="17"/>
      <c r="F17" s="17">
        <f>G17</f>
        <v>4400000</v>
      </c>
      <c r="G17" s="17">
        <f t="shared" si="1"/>
        <v>4400000</v>
      </c>
      <c r="H17" s="17">
        <f>I17</f>
        <v>4400000</v>
      </c>
      <c r="I17" s="17">
        <f>J17/C17</f>
        <v>4400000</v>
      </c>
      <c r="J17" s="17">
        <v>4400000</v>
      </c>
      <c r="K17" s="17">
        <f>J17*1.02</f>
        <v>4488000</v>
      </c>
      <c r="L17" s="17">
        <f>K17*1.015</f>
        <v>4555320</v>
      </c>
      <c r="M17" s="17">
        <f>4720000</f>
        <v>4720000</v>
      </c>
      <c r="N17" s="17">
        <f>4720000*1.067</f>
        <v>5036240</v>
      </c>
      <c r="O17" s="17">
        <v>5475000</v>
      </c>
      <c r="P17" s="17">
        <f>O17*1.07</f>
        <v>5858250</v>
      </c>
      <c r="Q17" s="8" t="s">
        <v>6</v>
      </c>
      <c r="R17" s="9"/>
    </row>
    <row r="18" spans="1:22" ht="43.2" x14ac:dyDescent="0.3">
      <c r="A18" s="1"/>
      <c r="B18" s="4" t="s">
        <v>20</v>
      </c>
      <c r="C18" s="7">
        <f>46*26</f>
        <v>1196</v>
      </c>
      <c r="D18" s="4" t="s">
        <v>5</v>
      </c>
      <c r="E18" s="17">
        <v>20000</v>
      </c>
      <c r="F18" s="17"/>
      <c r="G18" s="17"/>
      <c r="H18" s="17">
        <f>I18</f>
        <v>20000</v>
      </c>
      <c r="I18" s="17">
        <v>20000</v>
      </c>
      <c r="J18" s="17">
        <v>20000</v>
      </c>
      <c r="K18" s="17">
        <f>J18*1.02</f>
        <v>20400</v>
      </c>
      <c r="L18" s="17">
        <f>20700</f>
        <v>20700</v>
      </c>
      <c r="M18" s="17">
        <f>L18*1.036</f>
        <v>21445.200000000001</v>
      </c>
      <c r="N18" s="17">
        <v>22880</v>
      </c>
      <c r="O18" s="17">
        <v>25000</v>
      </c>
      <c r="P18" s="17">
        <f>O18*1.07</f>
        <v>26750</v>
      </c>
      <c r="Q18" s="8" t="s">
        <v>47</v>
      </c>
      <c r="R18" s="9"/>
    </row>
    <row r="19" spans="1:22" ht="57.6" x14ac:dyDescent="0.3">
      <c r="A19" s="1"/>
      <c r="B19" s="34" t="s">
        <v>72</v>
      </c>
      <c r="C19" s="7">
        <f>46*26</f>
        <v>1196</v>
      </c>
      <c r="D19" s="34" t="s">
        <v>5</v>
      </c>
      <c r="E19" s="17"/>
      <c r="F19" s="17"/>
      <c r="G19" s="17"/>
      <c r="H19" s="17"/>
      <c r="I19" s="17"/>
      <c r="J19" s="17"/>
      <c r="K19" s="17"/>
      <c r="L19" s="17"/>
      <c r="M19" s="17"/>
      <c r="N19" s="17"/>
      <c r="O19" s="17"/>
      <c r="P19" s="17">
        <f>42000*1.07</f>
        <v>44940</v>
      </c>
      <c r="Q19" s="8" t="s">
        <v>47</v>
      </c>
      <c r="R19" s="9"/>
    </row>
    <row r="20" spans="1:22" ht="57.6" x14ac:dyDescent="0.3">
      <c r="A20" s="19"/>
      <c r="B20" s="20" t="s">
        <v>21</v>
      </c>
      <c r="C20" s="21">
        <f>111*72</f>
        <v>7992</v>
      </c>
      <c r="D20" s="20" t="s">
        <v>5</v>
      </c>
      <c r="E20" s="22">
        <v>83881400</v>
      </c>
      <c r="F20" s="22"/>
      <c r="G20" s="22">
        <f>H20</f>
        <v>94300000</v>
      </c>
      <c r="H20" s="22">
        <f>J20</f>
        <v>94300000</v>
      </c>
      <c r="I20" s="22">
        <f>J20/C20</f>
        <v>11799.299299299299</v>
      </c>
      <c r="J20" s="22">
        <v>94300000</v>
      </c>
      <c r="K20" s="22">
        <f>J20*1.02</f>
        <v>96186000</v>
      </c>
      <c r="L20" s="22">
        <f>K20*1.015</f>
        <v>97628789.999999985</v>
      </c>
      <c r="M20" s="22">
        <v>101885000</v>
      </c>
      <c r="N20" s="22">
        <v>108710000</v>
      </c>
      <c r="O20" s="22">
        <v>119040000</v>
      </c>
      <c r="P20" s="22">
        <f>O20*1.07</f>
        <v>127372800</v>
      </c>
      <c r="Q20" s="23" t="s">
        <v>6</v>
      </c>
      <c r="R20" s="9"/>
    </row>
    <row r="21" spans="1:22" s="29" customFormat="1" ht="57.6" x14ac:dyDescent="0.3">
      <c r="A21" s="28"/>
      <c r="B21" s="34" t="s">
        <v>68</v>
      </c>
      <c r="C21" s="7">
        <v>7992</v>
      </c>
      <c r="D21" s="34" t="s">
        <v>5</v>
      </c>
      <c r="E21" s="17"/>
      <c r="F21" s="17"/>
      <c r="G21" s="17"/>
      <c r="H21" s="17"/>
      <c r="I21" s="17"/>
      <c r="J21" s="17"/>
      <c r="K21" s="17"/>
      <c r="L21" s="17"/>
      <c r="M21" s="17"/>
      <c r="N21" s="17"/>
      <c r="O21" s="17"/>
      <c r="P21" s="17">
        <f>160850000</f>
        <v>160850000</v>
      </c>
      <c r="Q21" s="8" t="s">
        <v>6</v>
      </c>
      <c r="R21" s="9"/>
    </row>
    <row r="22" spans="1:22" ht="28.8" x14ac:dyDescent="0.3">
      <c r="A22" s="1"/>
      <c r="B22" s="4" t="s">
        <v>22</v>
      </c>
      <c r="C22" s="7">
        <f>111*72</f>
        <v>7992</v>
      </c>
      <c r="D22" s="4" t="s">
        <v>5</v>
      </c>
      <c r="E22" s="17"/>
      <c r="F22" s="17"/>
      <c r="G22" s="17"/>
      <c r="H22" s="17"/>
      <c r="I22" s="17">
        <v>7300</v>
      </c>
      <c r="J22" s="17">
        <f>C22*I22</f>
        <v>58341600</v>
      </c>
      <c r="K22" s="17">
        <f>64000000</f>
        <v>64000000</v>
      </c>
      <c r="L22" s="17">
        <v>65000000</v>
      </c>
      <c r="M22" s="17">
        <v>71130000</v>
      </c>
      <c r="N22" s="17">
        <v>75900000</v>
      </c>
      <c r="O22" s="17">
        <v>83110000</v>
      </c>
      <c r="P22" s="17">
        <f>O22*1.07</f>
        <v>88927700</v>
      </c>
      <c r="Q22" s="8" t="s">
        <v>6</v>
      </c>
      <c r="R22" s="9"/>
    </row>
    <row r="23" spans="1:22" x14ac:dyDescent="0.3">
      <c r="A23" s="1"/>
      <c r="B23" s="33" t="s">
        <v>69</v>
      </c>
      <c r="C23" s="7">
        <f>111*72</f>
        <v>7992</v>
      </c>
      <c r="D23" s="33" t="s">
        <v>5</v>
      </c>
      <c r="E23" s="17"/>
      <c r="F23" s="17"/>
      <c r="G23" s="17"/>
      <c r="H23" s="17"/>
      <c r="I23" s="17"/>
      <c r="J23" s="17"/>
      <c r="K23" s="17"/>
      <c r="L23" s="17"/>
      <c r="M23" s="17"/>
      <c r="N23" s="17"/>
      <c r="O23" s="17">
        <v>0</v>
      </c>
      <c r="P23" s="17">
        <v>107000000</v>
      </c>
      <c r="Q23" s="8" t="s">
        <v>6</v>
      </c>
      <c r="R23" s="9"/>
    </row>
    <row r="24" spans="1:22" x14ac:dyDescent="0.3">
      <c r="A24" s="19" t="s">
        <v>23</v>
      </c>
      <c r="B24" s="24" t="s">
        <v>24</v>
      </c>
      <c r="C24" s="21"/>
      <c r="D24" s="20" t="s">
        <v>5</v>
      </c>
      <c r="E24" s="22">
        <v>170000</v>
      </c>
      <c r="F24" s="22">
        <f>G24</f>
        <v>180000</v>
      </c>
      <c r="G24" s="22">
        <v>180000</v>
      </c>
      <c r="H24" s="22">
        <f>J24</f>
        <v>184000</v>
      </c>
      <c r="I24" s="22">
        <v>184000</v>
      </c>
      <c r="J24" s="22">
        <v>184000</v>
      </c>
      <c r="K24" s="22">
        <v>190000</v>
      </c>
      <c r="L24" s="22">
        <f>190000*1.04</f>
        <v>197600</v>
      </c>
      <c r="M24" s="22">
        <v>240000</v>
      </c>
      <c r="N24" s="22">
        <v>268000</v>
      </c>
      <c r="O24" s="22">
        <v>295000</v>
      </c>
      <c r="P24" s="22">
        <f>O24*1.07</f>
        <v>315650</v>
      </c>
      <c r="Q24" s="23" t="s">
        <v>25</v>
      </c>
      <c r="R24" s="11"/>
    </row>
    <row r="25" spans="1:22" x14ac:dyDescent="0.3">
      <c r="A25" s="1"/>
      <c r="B25" s="10" t="s">
        <v>26</v>
      </c>
      <c r="C25" s="7"/>
      <c r="D25" s="4" t="s">
        <v>5</v>
      </c>
      <c r="E25" s="17"/>
      <c r="F25" s="17"/>
      <c r="G25" s="17"/>
      <c r="H25" s="17"/>
      <c r="I25" s="17"/>
      <c r="J25" s="17"/>
      <c r="K25" s="17">
        <v>105000</v>
      </c>
      <c r="L25" s="17">
        <f>105000*1.04</f>
        <v>109200</v>
      </c>
      <c r="M25" s="17">
        <v>135000</v>
      </c>
      <c r="N25" s="17">
        <v>150800</v>
      </c>
      <c r="O25" s="17">
        <v>165000</v>
      </c>
      <c r="P25" s="17">
        <f>O25*1.07</f>
        <v>176550</v>
      </c>
      <c r="Q25" s="8" t="s">
        <v>25</v>
      </c>
      <c r="R25" s="11"/>
    </row>
    <row r="26" spans="1:22" x14ac:dyDescent="0.3">
      <c r="A26" s="1"/>
      <c r="B26" s="10" t="s">
        <v>45</v>
      </c>
      <c r="C26" s="7"/>
      <c r="D26" s="4" t="s">
        <v>5</v>
      </c>
      <c r="E26" s="17"/>
      <c r="F26" s="17"/>
      <c r="G26" s="17"/>
      <c r="H26" s="17"/>
      <c r="I26" s="17"/>
      <c r="J26" s="17"/>
      <c r="K26" s="17">
        <v>104000</v>
      </c>
      <c r="L26" s="17">
        <f>104000*1.04</f>
        <v>108160</v>
      </c>
      <c r="M26" s="17">
        <v>0</v>
      </c>
      <c r="N26" s="17">
        <v>0</v>
      </c>
      <c r="O26" s="17">
        <v>0</v>
      </c>
      <c r="P26" s="17">
        <v>0</v>
      </c>
      <c r="Q26" s="8" t="s">
        <v>25</v>
      </c>
      <c r="R26" s="11"/>
    </row>
    <row r="27" spans="1:22" x14ac:dyDescent="0.3">
      <c r="A27" s="1"/>
      <c r="B27" s="10" t="s">
        <v>27</v>
      </c>
      <c r="C27" s="7"/>
      <c r="D27" s="4" t="s">
        <v>5</v>
      </c>
      <c r="E27" s="17"/>
      <c r="F27" s="17"/>
      <c r="G27" s="17"/>
      <c r="H27" s="17"/>
      <c r="I27" s="17"/>
      <c r="J27" s="17"/>
      <c r="K27" s="17">
        <v>120000</v>
      </c>
      <c r="L27" s="17">
        <f>1.04*120000</f>
        <v>124800</v>
      </c>
      <c r="M27" s="17">
        <v>0</v>
      </c>
      <c r="N27" s="17">
        <v>0</v>
      </c>
      <c r="O27" s="17">
        <v>0</v>
      </c>
      <c r="P27" s="17">
        <v>0</v>
      </c>
      <c r="Q27" s="8" t="s">
        <v>25</v>
      </c>
      <c r="R27" s="11"/>
    </row>
    <row r="28" spans="1:22" ht="28.8" x14ac:dyDescent="0.3">
      <c r="A28" s="1"/>
      <c r="B28" s="10" t="s">
        <v>55</v>
      </c>
      <c r="C28" s="7"/>
      <c r="D28" s="32" t="s">
        <v>5</v>
      </c>
      <c r="E28" s="17"/>
      <c r="F28" s="17"/>
      <c r="G28" s="17"/>
      <c r="H28" s="17"/>
      <c r="I28" s="17"/>
      <c r="J28" s="17"/>
      <c r="K28" s="17">
        <v>190000</v>
      </c>
      <c r="L28" s="17">
        <f>1.04*190000</f>
        <v>197600</v>
      </c>
      <c r="M28" s="17">
        <v>240000</v>
      </c>
      <c r="N28" s="17">
        <v>268000</v>
      </c>
      <c r="O28" s="17">
        <v>295000</v>
      </c>
      <c r="P28" s="17">
        <f>O28*1.07</f>
        <v>315650</v>
      </c>
      <c r="Q28" s="8" t="s">
        <v>25</v>
      </c>
      <c r="R28" s="11"/>
    </row>
    <row r="29" spans="1:22" ht="100.8" x14ac:dyDescent="0.3">
      <c r="A29" s="1"/>
      <c r="B29" s="10" t="s">
        <v>64</v>
      </c>
      <c r="C29" s="7"/>
      <c r="D29" s="30" t="s">
        <v>5</v>
      </c>
      <c r="E29" s="17"/>
      <c r="F29" s="17"/>
      <c r="G29" s="17"/>
      <c r="H29" s="17"/>
      <c r="I29" s="17"/>
      <c r="J29" s="17"/>
      <c r="K29" s="17"/>
      <c r="L29" s="17"/>
      <c r="M29" s="17">
        <v>450000</v>
      </c>
      <c r="N29" s="17">
        <v>500000</v>
      </c>
      <c r="O29" s="17">
        <f>500000*1.095</f>
        <v>547500</v>
      </c>
      <c r="P29" s="17"/>
      <c r="Q29" s="8" t="s">
        <v>25</v>
      </c>
      <c r="R29" s="11"/>
    </row>
    <row r="30" spans="1:22" x14ac:dyDescent="0.3">
      <c r="A30" s="19" t="s">
        <v>28</v>
      </c>
      <c r="B30" s="27" t="s">
        <v>50</v>
      </c>
      <c r="C30" s="21"/>
      <c r="D30" s="20"/>
      <c r="E30" s="22"/>
      <c r="F30" s="22"/>
      <c r="G30" s="22"/>
      <c r="H30" s="25"/>
      <c r="I30" s="25"/>
      <c r="J30" s="25"/>
      <c r="K30" s="25"/>
      <c r="L30" s="25"/>
      <c r="M30" s="25"/>
      <c r="N30" s="25"/>
      <c r="O30" s="25"/>
      <c r="P30" s="25"/>
      <c r="Q30" s="26"/>
      <c r="R30" s="9"/>
      <c r="S30" s="13"/>
      <c r="T30" s="13"/>
      <c r="U30" s="13"/>
      <c r="V30" s="13"/>
    </row>
    <row r="31" spans="1:22" s="29" customFormat="1" ht="28.8" x14ac:dyDescent="0.3">
      <c r="A31" s="28"/>
      <c r="B31" s="30" t="s">
        <v>51</v>
      </c>
      <c r="C31" s="7">
        <v>500</v>
      </c>
      <c r="D31" s="30" t="s">
        <v>29</v>
      </c>
      <c r="E31" s="17">
        <v>25500</v>
      </c>
      <c r="F31" s="17">
        <f>G31</f>
        <v>20000</v>
      </c>
      <c r="G31" s="17">
        <f>H31</f>
        <v>20000</v>
      </c>
      <c r="H31" s="18">
        <f>I31</f>
        <v>20000</v>
      </c>
      <c r="I31" s="18">
        <v>20000</v>
      </c>
      <c r="J31" s="18">
        <v>20000</v>
      </c>
      <c r="K31" s="18">
        <v>20000</v>
      </c>
      <c r="L31" s="18">
        <f>1.04*20000</f>
        <v>20800</v>
      </c>
      <c r="M31" s="18">
        <v>22000</v>
      </c>
      <c r="N31" s="18">
        <v>24000</v>
      </c>
      <c r="O31" s="18">
        <v>26000</v>
      </c>
      <c r="P31" s="18">
        <f>O31*1.07</f>
        <v>27820</v>
      </c>
      <c r="Q31" s="12" t="s">
        <v>52</v>
      </c>
      <c r="R31" s="9"/>
      <c r="S31" s="13"/>
      <c r="T31" s="13"/>
      <c r="U31" s="13"/>
      <c r="V31" s="13"/>
    </row>
    <row r="32" spans="1:22" s="29" customFormat="1" ht="57.6" x14ac:dyDescent="0.3">
      <c r="A32" s="28"/>
      <c r="B32" s="16" t="s">
        <v>66</v>
      </c>
      <c r="C32" s="7"/>
      <c r="D32" s="16"/>
      <c r="E32" s="17"/>
      <c r="F32" s="17"/>
      <c r="G32" s="17"/>
      <c r="H32" s="18"/>
      <c r="I32" s="18">
        <v>20000</v>
      </c>
      <c r="J32" s="18"/>
      <c r="K32" s="18">
        <v>46500</v>
      </c>
      <c r="L32" s="18">
        <f>1.04*46500</f>
        <v>48360</v>
      </c>
      <c r="M32" s="18">
        <f>L32*1.11</f>
        <v>53679.600000000006</v>
      </c>
      <c r="N32" s="18">
        <v>60000</v>
      </c>
      <c r="O32" s="18">
        <v>64000</v>
      </c>
      <c r="P32" s="18">
        <f t="shared" ref="P32:P33" si="2">O32*1.07</f>
        <v>68480</v>
      </c>
      <c r="Q32" s="12" t="s">
        <v>47</v>
      </c>
      <c r="R32" s="9"/>
      <c r="S32" s="13"/>
      <c r="T32" s="13"/>
      <c r="U32" s="13"/>
      <c r="V32" s="13"/>
    </row>
    <row r="33" spans="1:22" s="29" customFormat="1" ht="43.95" customHeight="1" x14ac:dyDescent="0.3">
      <c r="A33" s="28"/>
      <c r="B33" s="30" t="s">
        <v>54</v>
      </c>
      <c r="C33" s="7"/>
      <c r="D33" s="30"/>
      <c r="E33" s="17"/>
      <c r="F33" s="17"/>
      <c r="G33" s="17"/>
      <c r="H33" s="18"/>
      <c r="I33" s="18"/>
      <c r="J33" s="18"/>
      <c r="K33" s="18">
        <v>109000</v>
      </c>
      <c r="L33" s="18">
        <f>1.04*109000</f>
        <v>113360</v>
      </c>
      <c r="M33" s="18">
        <f>L33*1.11</f>
        <v>125829.6</v>
      </c>
      <c r="N33" s="18">
        <v>140000</v>
      </c>
      <c r="O33" s="18">
        <v>155000</v>
      </c>
      <c r="P33" s="18">
        <f t="shared" si="2"/>
        <v>165850</v>
      </c>
      <c r="Q33" s="12" t="s">
        <v>47</v>
      </c>
      <c r="R33" s="9"/>
      <c r="S33" s="13"/>
      <c r="T33" s="13"/>
      <c r="U33" s="13"/>
      <c r="V33" s="13"/>
    </row>
    <row r="34" spans="1:22" x14ac:dyDescent="0.3">
      <c r="A34" s="19" t="s">
        <v>30</v>
      </c>
      <c r="B34" s="27" t="s">
        <v>31</v>
      </c>
      <c r="C34" s="21"/>
      <c r="D34" s="20"/>
      <c r="E34" s="22"/>
      <c r="F34" s="22"/>
      <c r="G34" s="22"/>
      <c r="H34" s="25"/>
      <c r="I34" s="22"/>
      <c r="J34" s="25"/>
      <c r="K34" s="25"/>
      <c r="L34" s="25"/>
      <c r="M34" s="25"/>
      <c r="N34" s="25"/>
      <c r="O34" s="25"/>
      <c r="P34" s="25"/>
      <c r="Q34" s="26"/>
      <c r="R34" s="9"/>
      <c r="S34" s="13"/>
      <c r="T34" s="13"/>
      <c r="U34" s="13"/>
      <c r="V34" s="13"/>
    </row>
    <row r="35" spans="1:22" ht="29.4" customHeight="1" x14ac:dyDescent="0.3">
      <c r="A35" s="1"/>
      <c r="B35" s="4" t="s">
        <v>61</v>
      </c>
      <c r="C35" s="7">
        <v>440</v>
      </c>
      <c r="D35" s="4" t="s">
        <v>10</v>
      </c>
      <c r="E35" s="17"/>
      <c r="F35" s="17"/>
      <c r="G35" s="17">
        <f>H35</f>
        <v>10000</v>
      </c>
      <c r="H35" s="18">
        <f>I35</f>
        <v>10000</v>
      </c>
      <c r="I35" s="17">
        <v>10000</v>
      </c>
      <c r="J35" s="18">
        <v>10000</v>
      </c>
      <c r="K35" s="18">
        <v>11000</v>
      </c>
      <c r="L35" s="18">
        <v>11200</v>
      </c>
      <c r="M35" s="18">
        <v>11600</v>
      </c>
      <c r="N35" s="18">
        <v>12300</v>
      </c>
      <c r="O35" s="18">
        <f>12300*1.087</f>
        <v>13370.1</v>
      </c>
      <c r="P35" s="17">
        <v>14300</v>
      </c>
      <c r="Q35" s="12" t="s">
        <v>49</v>
      </c>
      <c r="R35" s="2"/>
    </row>
    <row r="36" spans="1:22" ht="28.8" x14ac:dyDescent="0.3">
      <c r="A36" s="1"/>
      <c r="B36" s="31" t="s">
        <v>60</v>
      </c>
      <c r="C36" s="7">
        <v>440</v>
      </c>
      <c r="D36" s="31" t="s">
        <v>10</v>
      </c>
      <c r="E36" s="17"/>
      <c r="F36" s="17"/>
      <c r="G36" s="17"/>
      <c r="H36" s="18"/>
      <c r="I36" s="17"/>
      <c r="J36" s="18"/>
      <c r="K36" s="18"/>
      <c r="L36" s="18"/>
      <c r="M36" s="18">
        <v>12900</v>
      </c>
      <c r="N36" s="18">
        <v>13700</v>
      </c>
      <c r="O36" s="18">
        <v>14900</v>
      </c>
      <c r="P36" s="18">
        <v>15950</v>
      </c>
      <c r="Q36" s="12" t="s">
        <v>49</v>
      </c>
      <c r="R36" s="2"/>
    </row>
    <row r="37" spans="1:22" ht="43.2" x14ac:dyDescent="0.3">
      <c r="A37" s="1"/>
      <c r="B37" s="4" t="s">
        <v>32</v>
      </c>
      <c r="C37" s="7">
        <v>400</v>
      </c>
      <c r="D37" s="4" t="s">
        <v>10</v>
      </c>
      <c r="E37" s="17"/>
      <c r="F37" s="17"/>
      <c r="G37" s="17">
        <f>H37</f>
        <v>8270</v>
      </c>
      <c r="H37" s="18">
        <f t="shared" ref="H37:H42" si="3">I37</f>
        <v>8270</v>
      </c>
      <c r="I37" s="17">
        <v>8270</v>
      </c>
      <c r="J37" s="18">
        <f t="shared" ref="J37:K40" si="4">I37</f>
        <v>8270</v>
      </c>
      <c r="K37" s="18">
        <v>8450</v>
      </c>
      <c r="L37" s="18">
        <v>8600</v>
      </c>
      <c r="M37" s="18">
        <f>L37*1.036</f>
        <v>8909.6</v>
      </c>
      <c r="N37" s="18">
        <v>9500</v>
      </c>
      <c r="O37" s="18">
        <v>10300</v>
      </c>
      <c r="P37" s="18">
        <v>11000</v>
      </c>
      <c r="Q37" s="12" t="s">
        <v>49</v>
      </c>
      <c r="R37" s="2"/>
    </row>
    <row r="38" spans="1:22" x14ac:dyDescent="0.3">
      <c r="A38" s="1"/>
      <c r="B38" s="4" t="s">
        <v>33</v>
      </c>
      <c r="C38" s="7">
        <v>10</v>
      </c>
      <c r="D38" s="4" t="s">
        <v>10</v>
      </c>
      <c r="E38" s="17"/>
      <c r="F38" s="17"/>
      <c r="G38" s="17"/>
      <c r="H38" s="18">
        <f t="shared" si="3"/>
        <v>25000</v>
      </c>
      <c r="I38" s="17">
        <v>25000</v>
      </c>
      <c r="J38" s="18">
        <f t="shared" si="4"/>
        <v>25000</v>
      </c>
      <c r="K38" s="18">
        <f t="shared" si="4"/>
        <v>25000</v>
      </c>
      <c r="L38" s="18">
        <f>K38*1.04</f>
        <v>26000</v>
      </c>
      <c r="M38" s="18">
        <v>26900</v>
      </c>
      <c r="N38" s="18">
        <v>28700</v>
      </c>
      <c r="O38" s="18">
        <v>31200</v>
      </c>
      <c r="P38" s="18">
        <v>33380</v>
      </c>
      <c r="Q38" s="12" t="s">
        <v>47</v>
      </c>
      <c r="R38" s="2"/>
    </row>
    <row r="39" spans="1:22" ht="28.8" x14ac:dyDescent="0.3">
      <c r="A39" s="1"/>
      <c r="B39" s="34" t="s">
        <v>70</v>
      </c>
      <c r="C39" s="7">
        <v>60</v>
      </c>
      <c r="D39" s="34" t="s">
        <v>5</v>
      </c>
      <c r="E39" s="17"/>
      <c r="F39" s="17"/>
      <c r="G39" s="17"/>
      <c r="H39" s="18"/>
      <c r="I39" s="17"/>
      <c r="J39" s="18"/>
      <c r="K39" s="18"/>
      <c r="L39" s="18"/>
      <c r="M39" s="18"/>
      <c r="N39" s="18"/>
      <c r="O39" s="18"/>
      <c r="P39" s="18">
        <v>13200000</v>
      </c>
      <c r="Q39" s="12" t="s">
        <v>6</v>
      </c>
      <c r="R39" s="2"/>
    </row>
    <row r="40" spans="1:22" ht="43.2" x14ac:dyDescent="0.3">
      <c r="A40" s="1"/>
      <c r="B40" s="4" t="s">
        <v>34</v>
      </c>
      <c r="C40" s="7"/>
      <c r="D40" s="4"/>
      <c r="E40" s="17">
        <v>7580</v>
      </c>
      <c r="F40" s="17">
        <f>E40</f>
        <v>7580</v>
      </c>
      <c r="G40" s="17">
        <f>H40</f>
        <v>8500</v>
      </c>
      <c r="H40" s="18">
        <f>I40</f>
        <v>8500</v>
      </c>
      <c r="I40" s="17">
        <v>8500</v>
      </c>
      <c r="J40" s="18">
        <f t="shared" si="4"/>
        <v>8500</v>
      </c>
      <c r="K40" s="18">
        <f t="shared" si="4"/>
        <v>8500</v>
      </c>
      <c r="L40" s="18">
        <v>8600</v>
      </c>
      <c r="M40" s="18">
        <v>8900</v>
      </c>
      <c r="N40" s="18">
        <v>9500</v>
      </c>
      <c r="O40" s="18">
        <v>10500</v>
      </c>
      <c r="P40" s="18">
        <f>O40*1.07</f>
        <v>11235</v>
      </c>
      <c r="Q40" s="12" t="s">
        <v>47</v>
      </c>
      <c r="R40" s="2"/>
    </row>
    <row r="41" spans="1:22" ht="43.2" x14ac:dyDescent="0.3">
      <c r="B41" s="4" t="s">
        <v>35</v>
      </c>
      <c r="C41" s="7">
        <v>25</v>
      </c>
      <c r="D41" s="4" t="s">
        <v>36</v>
      </c>
      <c r="E41" s="17"/>
      <c r="F41" s="17"/>
      <c r="G41" s="17"/>
      <c r="H41" s="18">
        <f t="shared" si="3"/>
        <v>9500</v>
      </c>
      <c r="I41" s="17">
        <v>9500</v>
      </c>
      <c r="J41" s="18">
        <f>I41</f>
        <v>9500</v>
      </c>
      <c r="K41" s="18">
        <f t="shared" ref="K41:K42" si="5">J41</f>
        <v>9500</v>
      </c>
      <c r="L41" s="18">
        <v>9650</v>
      </c>
      <c r="M41" s="18">
        <v>10000</v>
      </c>
      <c r="N41" s="18">
        <f>10000*1.067</f>
        <v>10670</v>
      </c>
      <c r="O41" s="18">
        <v>12000</v>
      </c>
      <c r="P41" s="18">
        <f>O41*1.07</f>
        <v>12840</v>
      </c>
      <c r="Q41" s="12" t="s">
        <v>47</v>
      </c>
    </row>
    <row r="42" spans="1:22" ht="28.8" x14ac:dyDescent="0.3">
      <c r="B42" s="4" t="s">
        <v>37</v>
      </c>
      <c r="C42" s="7">
        <v>100</v>
      </c>
      <c r="D42" s="4" t="s">
        <v>38</v>
      </c>
      <c r="E42" s="17"/>
      <c r="F42" s="17"/>
      <c r="G42" s="17"/>
      <c r="H42" s="18">
        <f t="shared" si="3"/>
        <v>15000</v>
      </c>
      <c r="I42" s="17">
        <v>15000</v>
      </c>
      <c r="J42" s="18">
        <f>I42</f>
        <v>15000</v>
      </c>
      <c r="K42" s="18">
        <f t="shared" si="5"/>
        <v>15000</v>
      </c>
      <c r="L42" s="18">
        <v>15250</v>
      </c>
      <c r="M42" s="18">
        <v>15800</v>
      </c>
      <c r="N42" s="18">
        <v>16850</v>
      </c>
      <c r="O42" s="18">
        <v>18500</v>
      </c>
      <c r="P42" s="18">
        <f>O42*1.07</f>
        <v>19795</v>
      </c>
      <c r="Q42" s="12" t="s">
        <v>47</v>
      </c>
    </row>
  </sheetData>
  <mergeCells count="2">
    <mergeCell ref="B3:B4"/>
    <mergeCell ref="Q3:Q4"/>
  </mergeCells>
  <pageMargins left="0.70866141732283472" right="0.70866141732283472" top="0.74803149606299213" bottom="0.74803149606299213" header="0.31496062992125984" footer="0.31496062992125984"/>
  <pageSetup paperSize="8" scale="46"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Ingatlan beruházás, felújítás N</vt:lpstr>
      <vt:lpstr>'Ingatlan beruházás, felújítás N'!Nyomtatási_terület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2021-01-25T12:46:40Z</dcterms:created>
  <dcterms:modified xsi:type="dcterms:W3CDTF">2021-02-19T07:25:42Z</dcterms:modified>
</cp:coreProperties>
</file>